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01436\Desktop\"/>
    </mc:Choice>
  </mc:AlternateContent>
  <xr:revisionPtr revIDLastSave="0" documentId="8_{F6AB853D-AC06-4C3B-B89C-0A36EE4A8398}" xr6:coauthVersionLast="45" xr6:coauthVersionMax="45" xr10:uidLastSave="{00000000-0000-0000-0000-000000000000}"/>
  <bookViews>
    <workbookView xWindow="-110" yWindow="-110" windowWidth="19420" windowHeight="10420" xr2:uid="{BB53C8C8-A69B-410C-8B99-D258BA631CC2}"/>
  </bookViews>
  <sheets>
    <sheet name="Sheet1" sheetId="1" r:id="rId1"/>
  </sheets>
  <definedNames>
    <definedName name="_xlnm._FilterDatabase" localSheetId="0" hidden="1">Sheet1!$D$5:$K$41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M41" i="1"/>
  <c r="F31" i="1"/>
  <c r="E31" i="1" s="1"/>
  <c r="F33" i="1"/>
  <c r="F34" i="1"/>
  <c r="F35" i="1"/>
  <c r="E35" i="1" s="1"/>
  <c r="F37" i="1"/>
  <c r="E37" i="1" s="1"/>
  <c r="I38" i="1"/>
  <c r="M38" i="1"/>
  <c r="H38" i="1" s="1"/>
  <c r="M37" i="1"/>
  <c r="M35" i="1"/>
  <c r="M34" i="1"/>
  <c r="M33" i="1"/>
  <c r="E33" i="1" s="1"/>
  <c r="M32" i="1"/>
  <c r="M31" i="1"/>
  <c r="M29" i="1"/>
  <c r="E29" i="1" s="1"/>
  <c r="M28" i="1"/>
  <c r="M26" i="1"/>
  <c r="F39" i="1"/>
  <c r="H37" i="1"/>
  <c r="H40" i="1"/>
  <c r="F40" i="1"/>
  <c r="E40" i="1" s="1"/>
  <c r="J36" i="1"/>
  <c r="J40" i="1"/>
  <c r="M40" i="1"/>
  <c r="F25" i="1"/>
  <c r="F24" i="1"/>
  <c r="I36" i="1"/>
  <c r="E26" i="1"/>
  <c r="E28" i="1"/>
  <c r="E32" i="1"/>
  <c r="E36" i="1"/>
  <c r="M36" i="1"/>
  <c r="I23" i="1"/>
  <c r="E23" i="1"/>
  <c r="I22" i="1"/>
  <c r="H22" i="1" s="1"/>
  <c r="I21" i="1"/>
  <c r="I20" i="1"/>
  <c r="K19" i="1"/>
  <c r="F18" i="1"/>
  <c r="F17" i="1"/>
  <c r="I16" i="1"/>
  <c r="I15" i="1"/>
  <c r="H15" i="1" s="1"/>
  <c r="F14" i="1"/>
  <c r="E14" i="1" s="1"/>
  <c r="M13" i="1"/>
  <c r="H13" i="1" s="1"/>
  <c r="F13" i="1"/>
  <c r="I12" i="1"/>
  <c r="M24" i="1"/>
  <c r="J24" i="1" s="1"/>
  <c r="M23" i="1"/>
  <c r="J23" i="1" s="1"/>
  <c r="M22" i="1"/>
  <c r="J22" i="1" s="1"/>
  <c r="M21" i="1"/>
  <c r="J21" i="1" s="1"/>
  <c r="M20" i="1"/>
  <c r="J20" i="1" s="1"/>
  <c r="M19" i="1"/>
  <c r="H19" i="1" s="1"/>
  <c r="M18" i="1"/>
  <c r="J18" i="1" s="1"/>
  <c r="M17" i="1"/>
  <c r="J17" i="1" s="1"/>
  <c r="M16" i="1"/>
  <c r="J16" i="1" s="1"/>
  <c r="M15" i="1"/>
  <c r="J15" i="1" s="1"/>
  <c r="M14" i="1"/>
  <c r="J14" i="1" s="1"/>
  <c r="M12" i="1"/>
  <c r="E12" i="1" s="1"/>
  <c r="I11" i="1"/>
  <c r="I10" i="1"/>
  <c r="H10" i="1" s="1"/>
  <c r="I8" i="1"/>
  <c r="N7" i="1"/>
  <c r="K7" i="1"/>
  <c r="F6" i="1"/>
  <c r="M10" i="1"/>
  <c r="J10" i="1" s="1"/>
  <c r="M9" i="1"/>
  <c r="H9" i="1" s="1"/>
  <c r="M8" i="1"/>
  <c r="E8" i="1" s="1"/>
  <c r="M7" i="1"/>
  <c r="H7" i="1" s="1"/>
  <c r="M6" i="1"/>
  <c r="H6" i="1" s="1"/>
  <c r="M39" i="1"/>
  <c r="H39" i="1" s="1"/>
  <c r="M30" i="1"/>
  <c r="E30" i="1" s="1"/>
  <c r="M27" i="1"/>
  <c r="E27" i="1" s="1"/>
  <c r="M25" i="1"/>
  <c r="M11" i="1"/>
  <c r="E11" i="1" s="1"/>
  <c r="E25" i="1" l="1"/>
  <c r="E34" i="1"/>
  <c r="H12" i="1"/>
  <c r="E39" i="1"/>
  <c r="H16" i="1"/>
  <c r="H20" i="1"/>
  <c r="E38" i="1"/>
  <c r="J6" i="1"/>
  <c r="E18" i="1"/>
  <c r="H21" i="1"/>
  <c r="H23" i="1"/>
  <c r="E17" i="1"/>
  <c r="E6" i="1"/>
  <c r="H18" i="1"/>
  <c r="E21" i="1"/>
  <c r="J9" i="1"/>
  <c r="J11" i="1"/>
  <c r="H17" i="1"/>
  <c r="J19" i="1"/>
  <c r="E22" i="1"/>
  <c r="H36" i="1"/>
  <c r="E20" i="1"/>
  <c r="E24" i="1"/>
  <c r="J25" i="1"/>
  <c r="J8" i="1"/>
  <c r="E10" i="1"/>
  <c r="J12" i="1"/>
  <c r="H25" i="1"/>
  <c r="H24" i="1"/>
  <c r="H11" i="1"/>
  <c r="H14" i="1"/>
  <c r="E15" i="1"/>
  <c r="E19" i="1"/>
  <c r="E16" i="1"/>
  <c r="J7" i="1"/>
  <c r="H8" i="1"/>
  <c r="E13" i="1"/>
  <c r="E41" i="1" l="1"/>
  <c r="F41" i="1" s="1"/>
  <c r="J39" i="1" l="1"/>
  <c r="J38" i="1"/>
  <c r="J37" i="1"/>
  <c r="J35" i="1"/>
  <c r="H35" i="1"/>
  <c r="H34" i="1"/>
  <c r="J34" i="1"/>
  <c r="H33" i="1"/>
  <c r="J33" i="1"/>
  <c r="J32" i="1"/>
  <c r="I32" i="1"/>
  <c r="H32" i="1" s="1"/>
  <c r="J31" i="1"/>
  <c r="H31" i="1"/>
  <c r="J27" i="1"/>
  <c r="I27" i="1"/>
  <c r="H27" i="1" s="1"/>
  <c r="I30" i="1"/>
  <c r="H30" i="1" s="1"/>
  <c r="J30" i="1"/>
  <c r="J28" i="1"/>
  <c r="I28" i="1"/>
  <c r="H28" i="1" s="1"/>
  <c r="H26" i="1"/>
  <c r="J26" i="1"/>
  <c r="J29" i="1"/>
  <c r="I29" i="1"/>
  <c r="H29" i="1" s="1"/>
  <c r="J41" i="1" l="1"/>
  <c r="K41" i="1" s="1"/>
  <c r="H41" i="1"/>
  <c r="I41" i="1" s="1"/>
</calcChain>
</file>

<file path=xl/sharedStrings.xml><?xml version="1.0" encoding="utf-8"?>
<sst xmlns="http://schemas.openxmlformats.org/spreadsheetml/2006/main" count="162" uniqueCount="133">
  <si>
    <t>FINAL 2020 U.S. SENATE ELECTIONS PROJECTION</t>
  </si>
  <si>
    <t>D Candidate</t>
  </si>
  <si>
    <t>D Votes</t>
  </si>
  <si>
    <t>D %</t>
  </si>
  <si>
    <t>R Candidate</t>
  </si>
  <si>
    <t>R Votes</t>
  </si>
  <si>
    <t>R</t>
  </si>
  <si>
    <t>Otr Votes</t>
  </si>
  <si>
    <t>Total Votes</t>
  </si>
  <si>
    <t>Delaware</t>
  </si>
  <si>
    <t>D Hold</t>
  </si>
  <si>
    <t>R Hold</t>
  </si>
  <si>
    <t>Montana</t>
  </si>
  <si>
    <t>New Hampshire</t>
  </si>
  <si>
    <t>North Carolina</t>
  </si>
  <si>
    <t>West Virginia</t>
  </si>
  <si>
    <t>Alabama</t>
  </si>
  <si>
    <t>Alaska</t>
  </si>
  <si>
    <t>Arizona Special</t>
  </si>
  <si>
    <t>Arkansas</t>
  </si>
  <si>
    <t>Colorado</t>
  </si>
  <si>
    <t>Georgia</t>
  </si>
  <si>
    <t>Georgia Special</t>
  </si>
  <si>
    <t>Idaho</t>
  </si>
  <si>
    <t>Illinois</t>
  </si>
  <si>
    <t>Iowa</t>
  </si>
  <si>
    <t>Kansas</t>
  </si>
  <si>
    <t>Kentucky</t>
  </si>
  <si>
    <t>Louisiana</t>
  </si>
  <si>
    <t>Maine</t>
  </si>
  <si>
    <t>Massachusetts</t>
  </si>
  <si>
    <t>Michigan</t>
  </si>
  <si>
    <t>Minnesota</t>
  </si>
  <si>
    <t>Mississippi</t>
  </si>
  <si>
    <t>Nebraska</t>
  </si>
  <si>
    <t>New Jersey</t>
  </si>
  <si>
    <t>New Mexico</t>
  </si>
  <si>
    <t>Oklahoma</t>
  </si>
  <si>
    <t>Oregon</t>
  </si>
  <si>
    <t>Rhode Island</t>
  </si>
  <si>
    <t>South Carolina</t>
  </si>
  <si>
    <t>South Dakota</t>
  </si>
  <si>
    <t>Tennessee</t>
  </si>
  <si>
    <t>Texas</t>
  </si>
  <si>
    <t>Virginia</t>
  </si>
  <si>
    <t>Wyoming</t>
  </si>
  <si>
    <t>2020 Win</t>
  </si>
  <si>
    <t>Overall</t>
  </si>
  <si>
    <t>* Jungle Primary 2nd Round</t>
  </si>
  <si>
    <t>Net Change</t>
  </si>
  <si>
    <t>TOTAL</t>
  </si>
  <si>
    <t>X Doug Jones</t>
  </si>
  <si>
    <t>R Open D Gain</t>
  </si>
  <si>
    <t>R Inc D Gain</t>
  </si>
  <si>
    <t>R Open Hold</t>
  </si>
  <si>
    <t>D Inc R Gain</t>
  </si>
  <si>
    <t>Tommy Tuberville</t>
  </si>
  <si>
    <t>Otr %</t>
  </si>
  <si>
    <t>X Dan Sullivan</t>
  </si>
  <si>
    <t>Mark Kelly</t>
  </si>
  <si>
    <t>X Martha McSally</t>
  </si>
  <si>
    <t>No Official Candidate - see Ltn R. D. Harrington</t>
  </si>
  <si>
    <t>X Tom Cotton</t>
  </si>
  <si>
    <t>Ricky Dale Harrington, Ltn</t>
  </si>
  <si>
    <t>No Official Candidate - see Al Gross, I</t>
  </si>
  <si>
    <t>Al Gross, Independent</t>
  </si>
  <si>
    <t>John Hickenlooper</t>
  </si>
  <si>
    <t>X Cory Gardner</t>
  </si>
  <si>
    <t>X Chris Coons</t>
  </si>
  <si>
    <t>Lauren Witzke</t>
  </si>
  <si>
    <t>Jon Ossoff</t>
  </si>
  <si>
    <t>X David Perdue</t>
  </si>
  <si>
    <t>X Kelly Loeffler</t>
  </si>
  <si>
    <t>Ralphael Warnock</t>
  </si>
  <si>
    <t>X Jim Risch</t>
  </si>
  <si>
    <t>Paulette Jordan</t>
  </si>
  <si>
    <t>X Richard Durbin</t>
  </si>
  <si>
    <t>Mark Curran</t>
  </si>
  <si>
    <t>Willie Wilson 3rd Party Challenger</t>
  </si>
  <si>
    <t>Theresa Greenfield</t>
  </si>
  <si>
    <t>X Joni Ernst</t>
  </si>
  <si>
    <t>Barbara Bollier</t>
  </si>
  <si>
    <t>Roger Marshall</t>
  </si>
  <si>
    <t>Amy McGrath</t>
  </si>
  <si>
    <t>X Mitch McConnell</t>
  </si>
  <si>
    <t>Jungle Primary, no runoff expected</t>
  </si>
  <si>
    <t>Adrian Perkins</t>
  </si>
  <si>
    <t>X Bill Cassidy</t>
  </si>
  <si>
    <t>X Susan Collins</t>
  </si>
  <si>
    <t>Sara Gideon</t>
  </si>
  <si>
    <t>X Gary Peters</t>
  </si>
  <si>
    <t>John James</t>
  </si>
  <si>
    <t>X Ed Markey</t>
  </si>
  <si>
    <t>Kevin O'Connor</t>
  </si>
  <si>
    <t>X Tina Smith</t>
  </si>
  <si>
    <t>Jason Lewis</t>
  </si>
  <si>
    <t>Marquita Bradshaw</t>
  </si>
  <si>
    <t>William Haggerty</t>
  </si>
  <si>
    <t>Mike Espy</t>
  </si>
  <si>
    <t>X Cindy Hyde-Smith</t>
  </si>
  <si>
    <t>X Steve Daines</t>
  </si>
  <si>
    <t>Steve Bullock</t>
  </si>
  <si>
    <t>Merav Ben-David</t>
  </si>
  <si>
    <t>Cynthia Lummis</t>
  </si>
  <si>
    <t>X Shelley Moore Capito</t>
  </si>
  <si>
    <t>Paula Jean Swearengin</t>
  </si>
  <si>
    <t>X Mark Warner</t>
  </si>
  <si>
    <t>Daniel Gade</t>
  </si>
  <si>
    <t>M J Hegar</t>
  </si>
  <si>
    <t>X John Cornyn</t>
  </si>
  <si>
    <t>Dan Ahlers</t>
  </si>
  <si>
    <t>X Mike Rounds</t>
  </si>
  <si>
    <t>X Lindsey Graham</t>
  </si>
  <si>
    <t>Jaime Harrison</t>
  </si>
  <si>
    <t>X Jack Reed</t>
  </si>
  <si>
    <t>Alan Waters</t>
  </si>
  <si>
    <t>X Jeff Merkley</t>
  </si>
  <si>
    <t>Jo Rae Perkins</t>
  </si>
  <si>
    <t>Abby Broyles</t>
  </si>
  <si>
    <t>X Jim Inhofe</t>
  </si>
  <si>
    <t>X Jeanne Shaheen</t>
  </si>
  <si>
    <t>Corky Messner</t>
  </si>
  <si>
    <t>Cal Cunningham</t>
  </si>
  <si>
    <t>X Thom Tillis</t>
  </si>
  <si>
    <t>X Cory Booker</t>
  </si>
  <si>
    <t>Rik Mehta</t>
  </si>
  <si>
    <t>Chris Janicek</t>
  </si>
  <si>
    <t>X Ben Sasse</t>
  </si>
  <si>
    <t>D Hold Open</t>
  </si>
  <si>
    <t>Ben Ray Lujan</t>
  </si>
  <si>
    <t>Mark Ronchetti</t>
  </si>
  <si>
    <t>D</t>
  </si>
  <si>
    <t>D + 5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</si>
</sst>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71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164" fontId="2" fillId="5" borderId="0" xfId="1" applyNumberFormat="1" applyFont="1" applyFill="1"/>
    <xf numFmtId="9" fontId="2" fillId="5" borderId="0" xfId="0" applyNumberFormat="1" applyFont="1" applyFill="1"/>
    <xf numFmtId="9" fontId="0" fillId="3" borderId="0" xfId="0" applyNumberFormat="1" applyFill="1"/>
    <xf numFmtId="164" fontId="1" fillId="3" borderId="0" xfId="1" applyNumberFormat="1" applyFont="1" applyFill="1"/>
    <xf numFmtId="164" fontId="1" fillId="0" borderId="0" xfId="1" applyNumberFormat="1" applyFont="1"/>
    <xf numFmtId="0" fontId="0" fillId="6" borderId="0" xfId="0" applyFill="1"/>
    <xf numFmtId="164" fontId="1" fillId="2" borderId="0" xfId="1" applyNumberFormat="1" applyFont="1" applyFill="1"/>
    <xf numFmtId="9" fontId="2" fillId="6" borderId="0" xfId="0" applyNumberFormat="1" applyFont="1" applyFill="1"/>
    <xf numFmtId="164" fontId="2" fillId="6" borderId="0" xfId="1" applyNumberFormat="1" applyFont="1" applyFill="1"/>
    <xf numFmtId="0" fontId="2" fillId="0" borderId="0" xfId="0" applyFont="1"/>
    <xf numFmtId="0" fontId="2" fillId="0" borderId="0" xfId="0" applyFont="1" applyFill="1"/>
    <xf numFmtId="10" fontId="0" fillId="4" borderId="0" xfId="0" applyNumberFormat="1" applyFill="1"/>
    <xf numFmtId="10" fontId="0" fillId="3" borderId="0" xfId="0" applyNumberFormat="1" applyFill="1"/>
    <xf numFmtId="10" fontId="0" fillId="2" borderId="0" xfId="0" applyNumberFormat="1" applyFill="1"/>
    <xf numFmtId="164" fontId="0" fillId="3" borderId="0" xfId="1" applyNumberFormat="1" applyFont="1" applyFill="1"/>
    <xf numFmtId="164" fontId="0" fillId="2" borderId="0" xfId="1" applyNumberFormat="1" applyFont="1" applyFill="1"/>
    <xf numFmtId="164" fontId="0" fillId="4" borderId="0" xfId="1" applyNumberFormat="1" applyFont="1" applyFill="1"/>
    <xf numFmtId="10" fontId="0" fillId="0" borderId="0" xfId="2" applyNumberFormat="1" applyFont="1"/>
    <xf numFmtId="0" fontId="4" fillId="2" borderId="0" xfId="0" applyFont="1" applyFill="1"/>
    <xf numFmtId="164" fontId="4" fillId="2" borderId="0" xfId="1" applyNumberFormat="1" applyFont="1" applyFill="1"/>
    <xf numFmtId="10" fontId="0" fillId="3" borderId="0" xfId="2" applyNumberFormat="1" applyFont="1" applyFill="1"/>
    <xf numFmtId="10" fontId="0" fillId="0" borderId="0" xfId="0" applyNumberFormat="1"/>
    <xf numFmtId="0" fontId="0" fillId="2" borderId="0" xfId="0" applyFont="1" applyFill="1"/>
    <xf numFmtId="10" fontId="0" fillId="2" borderId="0" xfId="0" applyNumberFormat="1" applyFont="1" applyFill="1"/>
    <xf numFmtId="164" fontId="0" fillId="0" borderId="0" xfId="0" applyNumberFormat="1"/>
    <xf numFmtId="164" fontId="2" fillId="0" borderId="0" xfId="0" applyNumberFormat="1" applyFont="1"/>
    <xf numFmtId="10" fontId="2" fillId="0" borderId="0" xfId="2" applyNumberFormat="1" applyFont="1"/>
    <xf numFmtId="9" fontId="0" fillId="3" borderId="0" xfId="0" applyNumberFormat="1" applyFont="1" applyFill="1"/>
    <xf numFmtId="10" fontId="0" fillId="3" borderId="0" xfId="0" applyNumberFormat="1" applyFont="1" applyFill="1"/>
    <xf numFmtId="10" fontId="0" fillId="2" borderId="0" xfId="2" applyNumberFormat="1" applyFont="1" applyFill="1"/>
    <xf numFmtId="171" fontId="0" fillId="0" borderId="0" xfId="0" applyNumberFormat="1"/>
    <xf numFmtId="10" fontId="2" fillId="5" borderId="0" xfId="0" applyNumberFormat="1" applyFont="1" applyFill="1"/>
    <xf numFmtId="0" fontId="2" fillId="0" borderId="0" xfId="0" applyFont="1" applyAlignment="1">
      <alignment horizontal="right"/>
    </xf>
    <xf numFmtId="0" fontId="2" fillId="6" borderId="0" xfId="0" applyFont="1" applyFill="1"/>
    <xf numFmtId="10" fontId="2" fillId="6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3670-D1E4-47BF-9AC1-57F58DDB213B}">
  <dimension ref="B2:O46"/>
  <sheetViews>
    <sheetView tabSelected="1" workbookViewId="0">
      <selection activeCell="G12" sqref="G12"/>
    </sheetView>
  </sheetViews>
  <sheetFormatPr defaultRowHeight="14.5" x14ac:dyDescent="0.35"/>
  <cols>
    <col min="2" max="2" width="13.90625" customWidth="1"/>
    <col min="3" max="3" width="13" bestFit="1" customWidth="1"/>
    <col min="4" max="4" width="20.453125" customWidth="1"/>
    <col min="5" max="5" width="12.54296875" bestFit="1" customWidth="1"/>
    <col min="6" max="6" width="6.7265625" customWidth="1"/>
    <col min="7" max="7" width="20.54296875" customWidth="1"/>
    <col min="8" max="8" width="12.54296875" bestFit="1" customWidth="1"/>
    <col min="9" max="9" width="8.81640625" bestFit="1" customWidth="1"/>
    <col min="10" max="10" width="10.6328125" customWidth="1"/>
    <col min="12" max="12" width="1.81640625" customWidth="1"/>
    <col min="13" max="13" width="11" bestFit="1" customWidth="1"/>
  </cols>
  <sheetData>
    <row r="2" spans="2:15" ht="18.5" x14ac:dyDescent="0.45">
      <c r="B2" s="1" t="s">
        <v>0</v>
      </c>
      <c r="N2" s="37"/>
    </row>
    <row r="5" spans="2:15" x14ac:dyDescent="0.35">
      <c r="D5" s="2" t="s">
        <v>1</v>
      </c>
      <c r="E5" s="2" t="s">
        <v>2</v>
      </c>
      <c r="F5" s="2" t="s">
        <v>3</v>
      </c>
      <c r="G5" s="3" t="s">
        <v>4</v>
      </c>
      <c r="H5" s="3" t="s">
        <v>5</v>
      </c>
      <c r="I5" s="3" t="s">
        <v>6</v>
      </c>
      <c r="J5" s="4" t="s">
        <v>7</v>
      </c>
      <c r="K5" s="4" t="s">
        <v>57</v>
      </c>
      <c r="M5" t="s">
        <v>8</v>
      </c>
    </row>
    <row r="6" spans="2:15" x14ac:dyDescent="0.35">
      <c r="B6" s="12" t="s">
        <v>16</v>
      </c>
      <c r="C6" s="12" t="s">
        <v>55</v>
      </c>
      <c r="D6" s="2" t="s">
        <v>51</v>
      </c>
      <c r="E6" s="22">
        <f>ROUND(F6*$M6,0)</f>
        <v>1190884</v>
      </c>
      <c r="F6" s="20">
        <f>100%-I6</f>
        <v>0.43379999999999996</v>
      </c>
      <c r="G6" s="40" t="s">
        <v>56</v>
      </c>
      <c r="H6" s="15">
        <f>ROUND(I6*$M6,0)</f>
        <v>1554353</v>
      </c>
      <c r="I6" s="41">
        <v>0.56620000000000004</v>
      </c>
      <c r="J6" s="23">
        <f>ROUND(K6*$M6,0)</f>
        <v>27</v>
      </c>
      <c r="K6" s="18">
        <v>1.0000000000000001E-5</v>
      </c>
      <c r="M6" s="11">
        <f>ROUND(2772967*0.99,0)</f>
        <v>2745237</v>
      </c>
    </row>
    <row r="7" spans="2:15" x14ac:dyDescent="0.35">
      <c r="B7" s="12" t="s">
        <v>17</v>
      </c>
      <c r="C7" s="12" t="s">
        <v>11</v>
      </c>
      <c r="D7" s="25" t="s">
        <v>64</v>
      </c>
      <c r="E7" s="26"/>
      <c r="F7" s="25"/>
      <c r="G7" s="40" t="s">
        <v>58</v>
      </c>
      <c r="H7" s="15">
        <f>ROUND(I7*$M7,0)</f>
        <v>195015</v>
      </c>
      <c r="I7" s="41">
        <v>0.53144999999999998</v>
      </c>
      <c r="J7" s="23">
        <f>ROUND(K7*$M7,0)</f>
        <v>171933</v>
      </c>
      <c r="K7" s="18">
        <f>100%-I7</f>
        <v>0.46855000000000002</v>
      </c>
      <c r="M7" s="11">
        <f>ROUND(370655*0.99,0)</f>
        <v>366948</v>
      </c>
      <c r="N7" s="24">
        <f>46.86%-6.91%</f>
        <v>0.39950000000000002</v>
      </c>
      <c r="O7" t="s">
        <v>65</v>
      </c>
    </row>
    <row r="8" spans="2:15" x14ac:dyDescent="0.35">
      <c r="B8" s="5" t="s">
        <v>18</v>
      </c>
      <c r="C8" s="5" t="s">
        <v>52</v>
      </c>
      <c r="D8" s="6" t="s">
        <v>59</v>
      </c>
      <c r="E8" s="7">
        <f>ROUND(F8*$M8,0)</f>
        <v>1624157</v>
      </c>
      <c r="F8" s="38">
        <v>0.53249999999999997</v>
      </c>
      <c r="G8" s="3" t="s">
        <v>60</v>
      </c>
      <c r="H8" s="21">
        <f>ROUND(I8*$M8,0)</f>
        <v>1399978</v>
      </c>
      <c r="I8" s="27">
        <f>100%-53.25%-0.85%</f>
        <v>0.45900000000000002</v>
      </c>
      <c r="J8" s="23">
        <f>ROUND(K8*$M8,0)</f>
        <v>259</v>
      </c>
      <c r="K8" s="18">
        <v>8.5000000000000006E-5</v>
      </c>
      <c r="M8" s="11">
        <f>ROUND(3080870*0.99,0)</f>
        <v>3050061</v>
      </c>
    </row>
    <row r="9" spans="2:15" x14ac:dyDescent="0.35">
      <c r="B9" s="12" t="s">
        <v>19</v>
      </c>
      <c r="C9" s="12" t="s">
        <v>11</v>
      </c>
      <c r="D9" s="25" t="s">
        <v>61</v>
      </c>
      <c r="E9" s="22"/>
      <c r="F9" s="2"/>
      <c r="G9" s="40" t="s">
        <v>62</v>
      </c>
      <c r="H9" s="15">
        <f>ROUND(I9*$M9,0)</f>
        <v>894447</v>
      </c>
      <c r="I9" s="41">
        <v>0.77610000000000001</v>
      </c>
      <c r="J9" s="23">
        <f>ROUND(K9*$M9,0)</f>
        <v>258042</v>
      </c>
      <c r="K9" s="18">
        <v>0.22389999999999999</v>
      </c>
      <c r="M9" s="11">
        <f>ROUND(1164130*0.99,0)</f>
        <v>1152489</v>
      </c>
      <c r="N9" s="28">
        <v>0.2238</v>
      </c>
      <c r="O9" t="s">
        <v>63</v>
      </c>
    </row>
    <row r="10" spans="2:15" x14ac:dyDescent="0.35">
      <c r="B10" s="5" t="s">
        <v>20</v>
      </c>
      <c r="C10" s="5" t="s">
        <v>53</v>
      </c>
      <c r="D10" s="6" t="s">
        <v>66</v>
      </c>
      <c r="E10" s="7">
        <f>ROUND(F10*$M10,0)</f>
        <v>1721413</v>
      </c>
      <c r="F10" s="38">
        <v>0.53979999999999995</v>
      </c>
      <c r="G10" s="3" t="s">
        <v>67</v>
      </c>
      <c r="H10" s="21">
        <f>ROUND(I10*$M10,0)</f>
        <v>1391353</v>
      </c>
      <c r="I10" s="19">
        <f>100%-53.98%-2.39%</f>
        <v>0.43630000000000008</v>
      </c>
      <c r="J10" s="23">
        <f>ROUND(K10*$M10,0)</f>
        <v>76217</v>
      </c>
      <c r="K10" s="18">
        <v>2.3900000000000001E-2</v>
      </c>
      <c r="M10" s="11">
        <f>ROUND(3221195*0.99,0)</f>
        <v>3188983</v>
      </c>
    </row>
    <row r="11" spans="2:15" x14ac:dyDescent="0.35">
      <c r="B11" s="5" t="s">
        <v>9</v>
      </c>
      <c r="C11" s="5" t="s">
        <v>10</v>
      </c>
      <c r="D11" s="6" t="s">
        <v>68</v>
      </c>
      <c r="E11" s="7">
        <f>ROUND(F11*$M11,0)</f>
        <v>322479</v>
      </c>
      <c r="F11" s="38">
        <v>0.65200000000000002</v>
      </c>
      <c r="G11" s="9" t="s">
        <v>69</v>
      </c>
      <c r="H11" s="21">
        <f>ROUND(I11*$M11,0)</f>
        <v>161289</v>
      </c>
      <c r="I11" s="19">
        <f>100%-F11-K11</f>
        <v>0.3261</v>
      </c>
      <c r="J11" s="23">
        <f>ROUND(K11*$M11,0)</f>
        <v>10832</v>
      </c>
      <c r="K11" s="18">
        <v>2.1899999999999999E-2</v>
      </c>
      <c r="M11" s="11">
        <f>ROUND(502132*0.985,0)</f>
        <v>494600</v>
      </c>
    </row>
    <row r="12" spans="2:15" x14ac:dyDescent="0.35">
      <c r="B12" s="5" t="s">
        <v>21</v>
      </c>
      <c r="C12" s="5" t="s">
        <v>53</v>
      </c>
      <c r="D12" s="6" t="s">
        <v>70</v>
      </c>
      <c r="E12" s="7">
        <f>ROUND(F12*$M12,0)</f>
        <v>2381099</v>
      </c>
      <c r="F12" s="38">
        <v>0.49428499999999997</v>
      </c>
      <c r="G12" s="9" t="s">
        <v>71</v>
      </c>
      <c r="H12" s="21">
        <f>ROUND(I12*$M12,0)</f>
        <v>2348968</v>
      </c>
      <c r="I12" s="19">
        <f>100%-F12-K12</f>
        <v>0.48761500000000002</v>
      </c>
      <c r="J12" s="23">
        <f>ROUND(K12*$M12,0)</f>
        <v>87192</v>
      </c>
      <c r="K12" s="18">
        <v>1.8100000000000002E-2</v>
      </c>
      <c r="M12" s="11">
        <f>ROUND(4865918*0.99,0)</f>
        <v>4817259</v>
      </c>
    </row>
    <row r="13" spans="2:15" x14ac:dyDescent="0.35">
      <c r="B13" s="12" t="s">
        <v>22</v>
      </c>
      <c r="C13" s="12" t="s">
        <v>11</v>
      </c>
      <c r="D13" s="29" t="s">
        <v>73</v>
      </c>
      <c r="E13" s="13">
        <f>ROUND(F13*$M13,0)</f>
        <v>1488798</v>
      </c>
      <c r="F13" s="30">
        <f>100%-I13</f>
        <v>0.49229999999999996</v>
      </c>
      <c r="G13" s="14" t="s">
        <v>72</v>
      </c>
      <c r="H13" s="15">
        <f>ROUND(I13*$M13,0)</f>
        <v>1535370</v>
      </c>
      <c r="I13" s="41">
        <v>0.50770000000000004</v>
      </c>
      <c r="J13" s="23"/>
      <c r="K13" s="4"/>
      <c r="M13" s="11">
        <f>ROUND(4865918*0.6215,0)</f>
        <v>3024168</v>
      </c>
      <c r="N13" t="s">
        <v>48</v>
      </c>
    </row>
    <row r="14" spans="2:15" x14ac:dyDescent="0.35">
      <c r="B14" s="12" t="s">
        <v>23</v>
      </c>
      <c r="C14" s="12" t="s">
        <v>11</v>
      </c>
      <c r="D14" s="29" t="s">
        <v>75</v>
      </c>
      <c r="E14" s="13">
        <f>ROUND(F14*$M14,0)</f>
        <v>281427</v>
      </c>
      <c r="F14" s="30">
        <f>100%-I14-K4</f>
        <v>0.36499999999999999</v>
      </c>
      <c r="G14" s="14" t="s">
        <v>74</v>
      </c>
      <c r="H14" s="15">
        <f>ROUND(I14*$M14,0)</f>
        <v>489605</v>
      </c>
      <c r="I14" s="41">
        <v>0.63500000000000001</v>
      </c>
      <c r="J14" s="23">
        <f>ROUND(K14*$M14,0)</f>
        <v>10178</v>
      </c>
      <c r="K14" s="18">
        <v>1.32E-2</v>
      </c>
      <c r="M14" s="11">
        <f>ROUND(778820*0.99,0)</f>
        <v>771032</v>
      </c>
    </row>
    <row r="15" spans="2:15" x14ac:dyDescent="0.35">
      <c r="B15" s="5" t="s">
        <v>24</v>
      </c>
      <c r="C15" s="5" t="s">
        <v>10</v>
      </c>
      <c r="D15" s="6" t="s">
        <v>76</v>
      </c>
      <c r="E15" s="7">
        <f>ROUND(F15*$M15,0)</f>
        <v>3249252</v>
      </c>
      <c r="F15" s="38">
        <v>0.55864999999999998</v>
      </c>
      <c r="G15" s="9" t="s">
        <v>77</v>
      </c>
      <c r="H15" s="21">
        <f>ROUND(I15*$M15,0)</f>
        <v>1858585</v>
      </c>
      <c r="I15" s="19">
        <f>100%-F15-K15</f>
        <v>0.31955</v>
      </c>
      <c r="J15" s="23">
        <f>ROUND(K15*$M15,0)</f>
        <v>708420</v>
      </c>
      <c r="K15" s="18">
        <v>0.12180000000000001</v>
      </c>
      <c r="M15" s="11">
        <f>ROUND(5875007*0.99,0)</f>
        <v>5816257</v>
      </c>
      <c r="N15" t="s">
        <v>78</v>
      </c>
    </row>
    <row r="16" spans="2:15" x14ac:dyDescent="0.35">
      <c r="B16" s="5" t="s">
        <v>25</v>
      </c>
      <c r="C16" s="5" t="s">
        <v>53</v>
      </c>
      <c r="D16" s="6" t="s">
        <v>79</v>
      </c>
      <c r="E16" s="7">
        <f>ROUND(F16*$M16,0)</f>
        <v>871015</v>
      </c>
      <c r="F16" s="38">
        <v>0.49018499999999998</v>
      </c>
      <c r="G16" s="34" t="s">
        <v>80</v>
      </c>
      <c r="H16" s="21">
        <f>ROUND(I16*$M16,0)</f>
        <v>869824</v>
      </c>
      <c r="I16" s="35">
        <f>100%-F16-K16</f>
        <v>0.48951500000000003</v>
      </c>
      <c r="J16" s="23">
        <f>ROUND(K16*$M16,0)</f>
        <v>36071</v>
      </c>
      <c r="K16" s="18">
        <v>2.0299999999999999E-2</v>
      </c>
      <c r="M16" s="11">
        <f>ROUND(1794859*0.99,0)</f>
        <v>1776910</v>
      </c>
    </row>
    <row r="17" spans="2:14" x14ac:dyDescent="0.35">
      <c r="B17" s="12" t="s">
        <v>26</v>
      </c>
      <c r="C17" s="12" t="s">
        <v>54</v>
      </c>
      <c r="D17" s="29" t="s">
        <v>81</v>
      </c>
      <c r="E17" s="13">
        <f>ROUND(F17*$M17,0)</f>
        <v>601695</v>
      </c>
      <c r="F17" s="30">
        <f>100%-I17-K17</f>
        <v>0.46730000000000005</v>
      </c>
      <c r="G17" s="14" t="s">
        <v>82</v>
      </c>
      <c r="H17" s="15">
        <f>ROUND(I17*$M17,0)</f>
        <v>661311</v>
      </c>
      <c r="I17" s="41">
        <v>0.51359999999999995</v>
      </c>
      <c r="J17" s="23">
        <f>ROUND(K17*$M17,0)</f>
        <v>24593</v>
      </c>
      <c r="K17" s="18">
        <v>1.9099999999999999E-2</v>
      </c>
      <c r="M17" s="11">
        <f>ROUND(1300605*0.99,0)</f>
        <v>1287599</v>
      </c>
    </row>
    <row r="18" spans="2:14" x14ac:dyDescent="0.35">
      <c r="B18" s="12" t="s">
        <v>27</v>
      </c>
      <c r="C18" s="12" t="s">
        <v>11</v>
      </c>
      <c r="D18" s="29" t="s">
        <v>83</v>
      </c>
      <c r="E18" s="13">
        <f>ROUND(F18*$M18,0)</f>
        <v>953396</v>
      </c>
      <c r="F18" s="30">
        <f>100%-I18-K18</f>
        <v>0.44054999999999994</v>
      </c>
      <c r="G18" s="14" t="s">
        <v>84</v>
      </c>
      <c r="H18" s="15">
        <f>ROUND(I18*$M18,0)</f>
        <v>1166127</v>
      </c>
      <c r="I18" s="41">
        <v>0.53885000000000005</v>
      </c>
      <c r="J18" s="23">
        <f>ROUND(K18*$M18,0)</f>
        <v>44581</v>
      </c>
      <c r="K18" s="18">
        <v>2.06E-2</v>
      </c>
      <c r="M18" s="11">
        <f>ROUND(2185964*0.99,0)</f>
        <v>2164104</v>
      </c>
    </row>
    <row r="19" spans="2:14" x14ac:dyDescent="0.35">
      <c r="B19" s="12" t="s">
        <v>28</v>
      </c>
      <c r="C19" s="12" t="s">
        <v>11</v>
      </c>
      <c r="D19" s="29" t="s">
        <v>86</v>
      </c>
      <c r="E19" s="13">
        <f>ROUND(F19*$M19,0)</f>
        <v>827062</v>
      </c>
      <c r="F19" s="30">
        <v>0.37319999999999998</v>
      </c>
      <c r="G19" s="14" t="s">
        <v>87</v>
      </c>
      <c r="H19" s="15">
        <f>ROUND(I19*$M19,0)</f>
        <v>1118041</v>
      </c>
      <c r="I19" s="41">
        <v>0.50449999999999995</v>
      </c>
      <c r="J19" s="23">
        <f>ROUND(K19*$M19,0)</f>
        <v>271033</v>
      </c>
      <c r="K19" s="18">
        <f>100%-F19-I19</f>
        <v>0.12230000000000008</v>
      </c>
      <c r="M19" s="11">
        <f>ROUND(2238521*0.99,0)</f>
        <v>2216136</v>
      </c>
      <c r="N19" t="s">
        <v>85</v>
      </c>
    </row>
    <row r="20" spans="2:14" x14ac:dyDescent="0.35">
      <c r="B20" s="5" t="s">
        <v>29</v>
      </c>
      <c r="C20" s="5" t="s">
        <v>53</v>
      </c>
      <c r="D20" s="6" t="s">
        <v>89</v>
      </c>
      <c r="E20" s="7">
        <f>ROUND(F20*$M20,0)</f>
        <v>438756</v>
      </c>
      <c r="F20" s="38">
        <v>0.50134999999999996</v>
      </c>
      <c r="G20" s="34" t="s">
        <v>88</v>
      </c>
      <c r="H20" s="10">
        <f>ROUND(I20*$M20,0)</f>
        <v>425629</v>
      </c>
      <c r="I20" s="35">
        <f>100%-F20-K20</f>
        <v>0.48635000000000006</v>
      </c>
      <c r="J20" s="23">
        <f>ROUND(K20*$M20,0)</f>
        <v>10764</v>
      </c>
      <c r="K20" s="18">
        <v>1.23E-2</v>
      </c>
      <c r="M20" s="11">
        <f>ROUND(883989*0.99,0)</f>
        <v>875149</v>
      </c>
    </row>
    <row r="21" spans="2:14" x14ac:dyDescent="0.35">
      <c r="B21" s="5" t="s">
        <v>30</v>
      </c>
      <c r="C21" s="5" t="s">
        <v>10</v>
      </c>
      <c r="D21" s="6" t="s">
        <v>92</v>
      </c>
      <c r="E21" s="7">
        <f>ROUND(F21*$M21,0)</f>
        <v>2311581</v>
      </c>
      <c r="F21" s="38">
        <v>0.65710000000000002</v>
      </c>
      <c r="G21" s="34" t="s">
        <v>93</v>
      </c>
      <c r="H21" s="10">
        <f>ROUND(I21*$M21,0)</f>
        <v>1206113</v>
      </c>
      <c r="I21" s="35">
        <f>100%-F21-K21</f>
        <v>0.34285499999999997</v>
      </c>
      <c r="J21" s="23">
        <f>ROUND(K21*$M21,0)</f>
        <v>158</v>
      </c>
      <c r="K21" s="18">
        <v>4.5000000000000003E-5</v>
      </c>
      <c r="M21" s="11">
        <f>ROUND(3553387*0.99,0)</f>
        <v>3517853</v>
      </c>
    </row>
    <row r="22" spans="2:14" x14ac:dyDescent="0.35">
      <c r="B22" s="5" t="s">
        <v>31</v>
      </c>
      <c r="C22" s="5" t="s">
        <v>10</v>
      </c>
      <c r="D22" s="6" t="s">
        <v>90</v>
      </c>
      <c r="E22" s="7">
        <f>ROUND(F22*$M22,0)</f>
        <v>2775088</v>
      </c>
      <c r="F22" s="38">
        <v>0.52944999999999998</v>
      </c>
      <c r="G22" s="34" t="s">
        <v>91</v>
      </c>
      <c r="H22" s="10">
        <f>ROUND(I22*$M22,0)</f>
        <v>2391414</v>
      </c>
      <c r="I22" s="35">
        <f>100%-F22-K22</f>
        <v>0.45625000000000004</v>
      </c>
      <c r="J22" s="23">
        <f>ROUND(K22*$M22,0)</f>
        <v>74953</v>
      </c>
      <c r="K22" s="18">
        <v>1.43E-2</v>
      </c>
      <c r="M22" s="11">
        <f>ROUND(5294399*0.99,0)</f>
        <v>5241455</v>
      </c>
    </row>
    <row r="23" spans="2:14" x14ac:dyDescent="0.35">
      <c r="B23" s="5" t="s">
        <v>32</v>
      </c>
      <c r="C23" s="5" t="s">
        <v>10</v>
      </c>
      <c r="D23" s="6" t="s">
        <v>94</v>
      </c>
      <c r="E23" s="7">
        <f>ROUND(F23*$M23,0)</f>
        <v>1694911</v>
      </c>
      <c r="F23" s="38">
        <v>0.53959999999999997</v>
      </c>
      <c r="G23" s="34" t="s">
        <v>95</v>
      </c>
      <c r="H23" s="10">
        <f>ROUND(I23*$M23,0)</f>
        <v>1388344</v>
      </c>
      <c r="I23" s="35">
        <f>100%-F23-K23</f>
        <v>0.44200000000000006</v>
      </c>
      <c r="J23" s="23">
        <f>ROUND(K23*$M23,0)</f>
        <v>57795</v>
      </c>
      <c r="K23" s="18">
        <v>1.84E-2</v>
      </c>
      <c r="M23" s="11">
        <f>ROUND(3172778*0.99,0)</f>
        <v>3141050</v>
      </c>
    </row>
    <row r="24" spans="2:14" x14ac:dyDescent="0.35">
      <c r="B24" s="12" t="s">
        <v>33</v>
      </c>
      <c r="C24" s="12" t="s">
        <v>11</v>
      </c>
      <c r="D24" s="29" t="s">
        <v>98</v>
      </c>
      <c r="E24" s="13">
        <f t="shared" ref="E24:E39" si="0">ROUND(F24*$M24,0)</f>
        <v>631812</v>
      </c>
      <c r="F24" s="30">
        <f>100%-I24-K24</f>
        <v>0.46925</v>
      </c>
      <c r="G24" s="14" t="s">
        <v>99</v>
      </c>
      <c r="H24" s="15">
        <f t="shared" ref="H24:H40" si="1">ROUND(I24*$M24,0)</f>
        <v>694690</v>
      </c>
      <c r="I24" s="41">
        <v>0.51595000000000002</v>
      </c>
      <c r="J24" s="23">
        <f>ROUND(K24*$M24,0)</f>
        <v>19927</v>
      </c>
      <c r="K24" s="18">
        <v>1.4800000000000001E-2</v>
      </c>
      <c r="M24" s="11">
        <f>ROUND(1360029*0.99,0)</f>
        <v>1346429</v>
      </c>
    </row>
    <row r="25" spans="2:14" x14ac:dyDescent="0.35">
      <c r="B25" s="12" t="s">
        <v>12</v>
      </c>
      <c r="C25" s="12" t="s">
        <v>11</v>
      </c>
      <c r="D25" s="29" t="s">
        <v>101</v>
      </c>
      <c r="E25" s="13">
        <f t="shared" si="0"/>
        <v>285809</v>
      </c>
      <c r="F25" s="30">
        <f>100%-I25-K25</f>
        <v>0.49321199999999998</v>
      </c>
      <c r="G25" s="14" t="s">
        <v>100</v>
      </c>
      <c r="H25" s="15">
        <f t="shared" si="1"/>
        <v>293654</v>
      </c>
      <c r="I25" s="41">
        <v>0.50675000000000003</v>
      </c>
      <c r="J25" s="23">
        <f>ROUND(K25*$M25,0)</f>
        <v>22</v>
      </c>
      <c r="K25" s="18">
        <v>3.8000000000000002E-5</v>
      </c>
      <c r="M25" s="11">
        <f>ROUND(585634*0.9895,0)</f>
        <v>579485</v>
      </c>
    </row>
    <row r="26" spans="2:14" x14ac:dyDescent="0.35">
      <c r="B26" s="12" t="s">
        <v>34</v>
      </c>
      <c r="C26" s="12" t="s">
        <v>11</v>
      </c>
      <c r="D26" s="29" t="s">
        <v>126</v>
      </c>
      <c r="E26" s="13">
        <f t="shared" si="0"/>
        <v>321122</v>
      </c>
      <c r="F26" s="30">
        <f>100%-I26-K26</f>
        <v>0.34320000000000006</v>
      </c>
      <c r="G26" s="14" t="s">
        <v>127</v>
      </c>
      <c r="H26" s="15">
        <f t="shared" si="1"/>
        <v>600233</v>
      </c>
      <c r="I26" s="41">
        <v>0.64149999999999996</v>
      </c>
      <c r="J26" s="23">
        <f t="shared" ref="J26:J40" si="2">ROUND(K26*$M26,0)</f>
        <v>14316</v>
      </c>
      <c r="K26" s="18">
        <v>1.5299999999999999E-2</v>
      </c>
      <c r="M26" s="11">
        <f>946078*0.989</f>
        <v>935671.14199999999</v>
      </c>
    </row>
    <row r="27" spans="2:14" x14ac:dyDescent="0.35">
      <c r="B27" s="5" t="s">
        <v>13</v>
      </c>
      <c r="C27" s="5" t="s">
        <v>10</v>
      </c>
      <c r="D27" s="6" t="s">
        <v>120</v>
      </c>
      <c r="E27" s="7">
        <f t="shared" si="0"/>
        <v>478121</v>
      </c>
      <c r="F27" s="38">
        <v>0.57289999999999996</v>
      </c>
      <c r="G27" s="34" t="s">
        <v>121</v>
      </c>
      <c r="H27" s="10">
        <f t="shared" si="1"/>
        <v>339667</v>
      </c>
      <c r="I27" s="35">
        <f t="shared" ref="I26:I36" si="3">100%-F27-K27</f>
        <v>0.40700000000000003</v>
      </c>
      <c r="J27" s="23">
        <f t="shared" si="2"/>
        <v>16775</v>
      </c>
      <c r="K27" s="18">
        <v>2.01E-2</v>
      </c>
      <c r="M27" s="11">
        <f>ROUND(843418*0.9895,0)</f>
        <v>834562</v>
      </c>
    </row>
    <row r="28" spans="2:14" x14ac:dyDescent="0.35">
      <c r="B28" s="5" t="s">
        <v>35</v>
      </c>
      <c r="C28" s="5" t="s">
        <v>10</v>
      </c>
      <c r="D28" s="6" t="s">
        <v>124</v>
      </c>
      <c r="E28" s="7">
        <f t="shared" si="0"/>
        <v>2621267</v>
      </c>
      <c r="F28" s="38">
        <v>0.60489999999999999</v>
      </c>
      <c r="G28" s="34" t="s">
        <v>125</v>
      </c>
      <c r="H28" s="10">
        <f t="shared" si="1"/>
        <v>1626321</v>
      </c>
      <c r="I28" s="35">
        <f t="shared" si="3"/>
        <v>0.37530000000000002</v>
      </c>
      <c r="J28" s="23">
        <f t="shared" si="2"/>
        <v>85801</v>
      </c>
      <c r="K28" s="18">
        <v>1.9800000000000002E-2</v>
      </c>
      <c r="M28" s="11">
        <f>4372744*0.991</f>
        <v>4333389.3039999995</v>
      </c>
    </row>
    <row r="29" spans="2:14" x14ac:dyDescent="0.35">
      <c r="B29" s="5" t="s">
        <v>36</v>
      </c>
      <c r="C29" s="5" t="s">
        <v>128</v>
      </c>
      <c r="D29" s="6" t="s">
        <v>129</v>
      </c>
      <c r="E29" s="7">
        <f t="shared" si="0"/>
        <v>488632</v>
      </c>
      <c r="F29" s="38">
        <v>0.54279999999999995</v>
      </c>
      <c r="G29" s="34" t="s">
        <v>130</v>
      </c>
      <c r="H29" s="10">
        <f t="shared" si="1"/>
        <v>400142</v>
      </c>
      <c r="I29" s="35">
        <f t="shared" si="3"/>
        <v>0.44450000000000006</v>
      </c>
      <c r="J29" s="23">
        <f t="shared" si="2"/>
        <v>11433</v>
      </c>
      <c r="K29" s="18">
        <v>1.2699999999999999E-2</v>
      </c>
      <c r="M29" s="11">
        <f>909759*0.9895</f>
        <v>900206.53049999999</v>
      </c>
    </row>
    <row r="30" spans="2:14" x14ac:dyDescent="0.35">
      <c r="B30" s="5" t="s">
        <v>14</v>
      </c>
      <c r="C30" s="5" t="s">
        <v>53</v>
      </c>
      <c r="D30" s="6" t="s">
        <v>122</v>
      </c>
      <c r="E30" s="7">
        <f t="shared" si="0"/>
        <v>2741698</v>
      </c>
      <c r="F30" s="8">
        <v>0.50560000000000005</v>
      </c>
      <c r="G30" s="34" t="s">
        <v>123</v>
      </c>
      <c r="H30" s="10">
        <f t="shared" si="1"/>
        <v>2560039</v>
      </c>
      <c r="I30" s="35">
        <f t="shared" si="3"/>
        <v>0.47209999999999996</v>
      </c>
      <c r="J30" s="23">
        <f t="shared" si="2"/>
        <v>120925</v>
      </c>
      <c r="K30" s="18">
        <v>2.23E-2</v>
      </c>
      <c r="M30" s="11">
        <f>ROUND(5480205*0.9895,0)</f>
        <v>5422663</v>
      </c>
    </row>
    <row r="31" spans="2:14" x14ac:dyDescent="0.35">
      <c r="B31" s="12" t="s">
        <v>37</v>
      </c>
      <c r="C31" s="12" t="s">
        <v>11</v>
      </c>
      <c r="D31" s="29" t="s">
        <v>118</v>
      </c>
      <c r="E31" s="13">
        <f t="shared" si="0"/>
        <v>584780</v>
      </c>
      <c r="F31" s="30">
        <f>100%-I31-K31</f>
        <v>0.38010000000000005</v>
      </c>
      <c r="G31" s="14" t="s">
        <v>119</v>
      </c>
      <c r="H31" s="15">
        <f t="shared" si="1"/>
        <v>924787</v>
      </c>
      <c r="I31" s="41">
        <v>0.60109999999999997</v>
      </c>
      <c r="J31" s="23">
        <f t="shared" si="2"/>
        <v>28924</v>
      </c>
      <c r="K31" s="18">
        <v>1.8800000000000001E-2</v>
      </c>
      <c r="M31" s="11">
        <f>1553247*0.9905</f>
        <v>1538491.1535</v>
      </c>
    </row>
    <row r="32" spans="2:14" x14ac:dyDescent="0.35">
      <c r="B32" s="5" t="s">
        <v>38</v>
      </c>
      <c r="C32" s="5" t="s">
        <v>10</v>
      </c>
      <c r="D32" s="6" t="s">
        <v>116</v>
      </c>
      <c r="E32" s="7">
        <f t="shared" si="0"/>
        <v>1332682</v>
      </c>
      <c r="F32" s="38">
        <v>0.60370000000000001</v>
      </c>
      <c r="G32" s="34" t="s">
        <v>117</v>
      </c>
      <c r="H32" s="10">
        <f t="shared" si="1"/>
        <v>817005</v>
      </c>
      <c r="I32" s="35">
        <f t="shared" si="3"/>
        <v>0.37009999999999998</v>
      </c>
      <c r="J32" s="23">
        <f t="shared" si="2"/>
        <v>57837</v>
      </c>
      <c r="K32" s="18">
        <v>2.6200000000000001E-2</v>
      </c>
      <c r="M32" s="11">
        <f>2230949*0.9895</f>
        <v>2207524.0355000002</v>
      </c>
    </row>
    <row r="33" spans="2:13" x14ac:dyDescent="0.35">
      <c r="B33" s="5" t="s">
        <v>39</v>
      </c>
      <c r="C33" s="5" t="s">
        <v>10</v>
      </c>
      <c r="D33" s="6" t="s">
        <v>114</v>
      </c>
      <c r="E33" s="7">
        <f t="shared" si="0"/>
        <v>322453</v>
      </c>
      <c r="F33" s="38">
        <f>100%-I33-K33</f>
        <v>0.622614</v>
      </c>
      <c r="G33" s="34" t="s">
        <v>115</v>
      </c>
      <c r="H33" s="10">
        <f t="shared" si="1"/>
        <v>195405</v>
      </c>
      <c r="I33" s="35">
        <v>0.37730000000000002</v>
      </c>
      <c r="J33" s="23">
        <f t="shared" si="2"/>
        <v>45</v>
      </c>
      <c r="K33" s="18">
        <v>8.6000000000000003E-5</v>
      </c>
      <c r="M33" s="11">
        <f>522606*0.991</f>
        <v>517902.54599999997</v>
      </c>
    </row>
    <row r="34" spans="2:13" x14ac:dyDescent="0.35">
      <c r="B34" s="12" t="s">
        <v>40</v>
      </c>
      <c r="C34" s="12" t="s">
        <v>11</v>
      </c>
      <c r="D34" s="29" t="s">
        <v>113</v>
      </c>
      <c r="E34" s="13">
        <f t="shared" si="0"/>
        <v>1164051</v>
      </c>
      <c r="F34" s="30">
        <f>100%-I34-K34</f>
        <v>0.48699999999999993</v>
      </c>
      <c r="G34" s="14" t="s">
        <v>112</v>
      </c>
      <c r="H34" s="15">
        <f t="shared" si="1"/>
        <v>1193929</v>
      </c>
      <c r="I34" s="41">
        <v>0.4995</v>
      </c>
      <c r="J34" s="23">
        <f t="shared" si="2"/>
        <v>32268</v>
      </c>
      <c r="K34" s="18">
        <v>1.35E-2</v>
      </c>
      <c r="M34" s="11">
        <f>2411226*0.9913</f>
        <v>2390248.3337999997</v>
      </c>
    </row>
    <row r="35" spans="2:13" x14ac:dyDescent="0.35">
      <c r="B35" s="12" t="s">
        <v>41</v>
      </c>
      <c r="C35" s="12" t="s">
        <v>11</v>
      </c>
      <c r="D35" s="29" t="s">
        <v>110</v>
      </c>
      <c r="E35" s="13">
        <f t="shared" si="0"/>
        <v>163801</v>
      </c>
      <c r="F35" s="30">
        <f>100%-I35-K35</f>
        <v>0.40361199999999997</v>
      </c>
      <c r="G35" s="14" t="s">
        <v>111</v>
      </c>
      <c r="H35" s="15">
        <f t="shared" si="1"/>
        <v>242021</v>
      </c>
      <c r="I35" s="41">
        <v>0.59635000000000005</v>
      </c>
      <c r="J35" s="23">
        <f t="shared" si="2"/>
        <v>15</v>
      </c>
      <c r="K35" s="18">
        <v>3.8000000000000002E-5</v>
      </c>
      <c r="M35" s="11">
        <f>410227*0.9893</f>
        <v>405837.5711</v>
      </c>
    </row>
    <row r="36" spans="2:13" x14ac:dyDescent="0.35">
      <c r="B36" s="12" t="s">
        <v>42</v>
      </c>
      <c r="C36" s="12" t="s">
        <v>54</v>
      </c>
      <c r="D36" s="29" t="s">
        <v>96</v>
      </c>
      <c r="E36" s="13">
        <f t="shared" si="0"/>
        <v>1091598</v>
      </c>
      <c r="F36" s="30">
        <v>0.38350000000000001</v>
      </c>
      <c r="G36" s="14" t="s">
        <v>97</v>
      </c>
      <c r="H36" s="15">
        <f t="shared" si="1"/>
        <v>1706991</v>
      </c>
      <c r="I36" s="41">
        <f t="shared" si="3"/>
        <v>0.59970000000000001</v>
      </c>
      <c r="J36" s="23">
        <f t="shared" si="2"/>
        <v>47820</v>
      </c>
      <c r="K36" s="18">
        <v>1.6799999999999999E-2</v>
      </c>
      <c r="M36" s="11">
        <f>2878067*0.989</f>
        <v>2846408.2629999998</v>
      </c>
    </row>
    <row r="37" spans="2:13" x14ac:dyDescent="0.35">
      <c r="B37" s="12" t="s">
        <v>43</v>
      </c>
      <c r="C37" s="12" t="s">
        <v>11</v>
      </c>
      <c r="D37" s="29" t="s">
        <v>108</v>
      </c>
      <c r="E37" s="13">
        <f t="shared" si="0"/>
        <v>4864829</v>
      </c>
      <c r="F37" s="30">
        <f>100%-I37-K37</f>
        <v>0.45270000000000005</v>
      </c>
      <c r="G37" s="14" t="s">
        <v>109</v>
      </c>
      <c r="H37" s="15">
        <f t="shared" si="1"/>
        <v>5625663</v>
      </c>
      <c r="I37" s="41">
        <v>0.52349999999999997</v>
      </c>
      <c r="J37" s="23">
        <f t="shared" si="2"/>
        <v>255761</v>
      </c>
      <c r="K37" s="18">
        <v>2.3800000000000002E-2</v>
      </c>
      <c r="M37" s="11">
        <f>10827459*0.9925</f>
        <v>10746253.057500001</v>
      </c>
    </row>
    <row r="38" spans="2:13" x14ac:dyDescent="0.35">
      <c r="B38" s="5" t="s">
        <v>44</v>
      </c>
      <c r="C38" s="5" t="s">
        <v>10</v>
      </c>
      <c r="D38" s="6" t="s">
        <v>106</v>
      </c>
      <c r="E38" s="7">
        <f t="shared" si="0"/>
        <v>2615419</v>
      </c>
      <c r="F38" s="38">
        <v>0.59299999999999997</v>
      </c>
      <c r="G38" s="34" t="s">
        <v>107</v>
      </c>
      <c r="H38" s="10">
        <f t="shared" si="1"/>
        <v>1794905</v>
      </c>
      <c r="I38" s="35">
        <f>100%-F38-K38</f>
        <v>0.40696300000000002</v>
      </c>
      <c r="J38" s="23">
        <f t="shared" si="2"/>
        <v>163</v>
      </c>
      <c r="K38" s="18">
        <v>3.6999999999999998E-5</v>
      </c>
      <c r="M38" s="11">
        <f>4459092*0.9891</f>
        <v>4410487.8971999995</v>
      </c>
    </row>
    <row r="39" spans="2:13" x14ac:dyDescent="0.35">
      <c r="B39" s="12" t="s">
        <v>15</v>
      </c>
      <c r="C39" s="12" t="s">
        <v>11</v>
      </c>
      <c r="D39" s="29" t="s">
        <v>105</v>
      </c>
      <c r="E39" s="13">
        <f t="shared" si="0"/>
        <v>291523</v>
      </c>
      <c r="F39" s="36">
        <f>100%-I39-K39</f>
        <v>0.36084999999999995</v>
      </c>
      <c r="G39" s="14" t="s">
        <v>104</v>
      </c>
      <c r="H39" s="15">
        <f t="shared" si="1"/>
        <v>505449</v>
      </c>
      <c r="I39" s="41">
        <v>0.62565000000000004</v>
      </c>
      <c r="J39" s="23">
        <f t="shared" si="2"/>
        <v>10906</v>
      </c>
      <c r="K39" s="18">
        <v>1.35E-2</v>
      </c>
      <c r="M39" s="11">
        <f>ROUND(816452*0.9895,0)</f>
        <v>807879</v>
      </c>
    </row>
    <row r="40" spans="2:13" x14ac:dyDescent="0.35">
      <c r="B40" s="12" t="s">
        <v>45</v>
      </c>
      <c r="C40" s="12" t="s">
        <v>54</v>
      </c>
      <c r="D40" s="29" t="s">
        <v>102</v>
      </c>
      <c r="E40" s="13">
        <f>ROUND(F40*$M40,0)-7</f>
        <v>103154</v>
      </c>
      <c r="F40" s="36">
        <f>100%-I40</f>
        <v>0.35075000000000001</v>
      </c>
      <c r="G40" s="40" t="s">
        <v>103</v>
      </c>
      <c r="H40" s="15">
        <f t="shared" si="1"/>
        <v>190954</v>
      </c>
      <c r="I40" s="41">
        <v>0.64924999999999999</v>
      </c>
      <c r="J40" s="23">
        <f t="shared" si="2"/>
        <v>13</v>
      </c>
      <c r="K40" s="18">
        <v>4.3000000000000002E-5</v>
      </c>
      <c r="M40" s="11">
        <f>297386*0.989</f>
        <v>294114.75400000002</v>
      </c>
    </row>
    <row r="41" spans="2:13" s="16" customFormat="1" x14ac:dyDescent="0.35">
      <c r="B41" s="17" t="s">
        <v>50</v>
      </c>
      <c r="E41" s="32">
        <f>SUM(E6:E40)</f>
        <v>42835764</v>
      </c>
      <c r="F41" s="33">
        <f>E41/$M41</f>
        <v>0.4971373789280959</v>
      </c>
      <c r="H41" s="32">
        <f>SUM(H6:H40)</f>
        <v>40767621</v>
      </c>
      <c r="I41" s="33">
        <f>H41/$M41</f>
        <v>0.47313521124717189</v>
      </c>
      <c r="J41" s="32">
        <f>SUM(J6:J40)</f>
        <v>2545999</v>
      </c>
      <c r="K41" s="33">
        <f>J41/$M41</f>
        <v>2.9548002683308119E-2</v>
      </c>
      <c r="M41" s="32">
        <f>SUM(M6:M40)</f>
        <v>86164842.588099986</v>
      </c>
    </row>
    <row r="42" spans="2:13" x14ac:dyDescent="0.35">
      <c r="E42" s="31"/>
      <c r="H42" s="31"/>
      <c r="J42" s="31"/>
    </row>
    <row r="43" spans="2:13" x14ac:dyDescent="0.35">
      <c r="C43" s="16"/>
      <c r="D43" s="16" t="s">
        <v>46</v>
      </c>
      <c r="E43" s="16" t="s">
        <v>47</v>
      </c>
    </row>
    <row r="44" spans="2:13" x14ac:dyDescent="0.35">
      <c r="C44" s="6" t="s">
        <v>131</v>
      </c>
      <c r="D44" s="6">
        <v>17</v>
      </c>
      <c r="E44" s="6">
        <v>52</v>
      </c>
    </row>
    <row r="45" spans="2:13" x14ac:dyDescent="0.35">
      <c r="C45" s="16" t="s">
        <v>6</v>
      </c>
      <c r="D45" s="16">
        <v>18</v>
      </c>
      <c r="E45" s="16">
        <v>48</v>
      </c>
    </row>
    <row r="46" spans="2:13" x14ac:dyDescent="0.35">
      <c r="C46" s="16" t="s">
        <v>49</v>
      </c>
      <c r="D46" s="39" t="s">
        <v>132</v>
      </c>
      <c r="E46" s="16"/>
    </row>
  </sheetData>
  <autoFilter ref="D5:K41" xr:uid="{6B4BAD43-C9BD-4041-B4DE-E7A58FF2322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dcterms:created xsi:type="dcterms:W3CDTF">2020-11-03T02:57:01Z</dcterms:created>
  <dcterms:modified xsi:type="dcterms:W3CDTF">2020-11-03T17:32:41Z</dcterms:modified>
</cp:coreProperties>
</file>